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<sst xmlns="http://schemas.openxmlformats.org/spreadsheetml/2006/main" count="502" uniqueCount="149">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</sst>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7527101.68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82" sqref="J8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F9+F15+F18+F19+F20+F32+F17-0.01</f>
        <v>155187.93999999997</v>
      </c>
      <c r="G8" s="15">
        <f aca="true" t="shared" si="0" ref="G8:G21">F8-E8</f>
        <v>-26626.24000000005</v>
      </c>
      <c r="H8" s="38">
        <f>F8/E8*100</f>
        <v>85.35524566895715</v>
      </c>
      <c r="I8" s="28">
        <f>F8-D8</f>
        <v>-685862.06</v>
      </c>
      <c r="J8" s="28">
        <f>F8/D8*100</f>
        <v>18.451690149218237</v>
      </c>
      <c r="K8" s="15">
        <f>F8-139482.78</f>
        <v>15705.159999999974</v>
      </c>
      <c r="L8" s="15">
        <f>F8/139482.78*100</f>
        <v>111.25956910236516</v>
      </c>
      <c r="M8" s="15">
        <f>M9+M15+M18+M19+M20+M32+M17</f>
        <v>59101.41</v>
      </c>
      <c r="N8" s="15">
        <f>N9+N15+N18+N19+N20+N32+N17</f>
        <v>14764.924999999996</v>
      </c>
      <c r="O8" s="15">
        <f>N8-M8</f>
        <v>-44336.48500000001</v>
      </c>
      <c r="P8" s="15">
        <f>N8/M8*100</f>
        <v>24.9823565969069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82126.8</v>
      </c>
      <c r="G9" s="36">
        <f t="shared" si="0"/>
        <v>-13856.470000000001</v>
      </c>
      <c r="H9" s="32">
        <f>F9/E9*100</f>
        <v>85.56366125054919</v>
      </c>
      <c r="I9" s="42">
        <f>F9-D9</f>
        <v>-377573.2</v>
      </c>
      <c r="J9" s="42">
        <f>F9/D9*100</f>
        <v>17.865303458777465</v>
      </c>
      <c r="K9" s="106">
        <f>F9-78437.5</f>
        <v>3689.300000000003</v>
      </c>
      <c r="L9" s="106">
        <f>F9/78437.5*100</f>
        <v>104.70349003984066</v>
      </c>
      <c r="M9" s="32">
        <f>E9-лютий!E9</f>
        <v>35393.005000000005</v>
      </c>
      <c r="N9" s="178">
        <f>F9-лютий!F9</f>
        <v>11802.199999999997</v>
      </c>
      <c r="O9" s="40">
        <f>N9-M9</f>
        <v>-23590.805000000008</v>
      </c>
      <c r="P9" s="42">
        <f>N9/M9*100</f>
        <v>33.346137181626695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85.14</v>
      </c>
      <c r="G15" s="36">
        <f t="shared" si="0"/>
        <v>-24.86</v>
      </c>
      <c r="H15" s="32"/>
      <c r="I15" s="42">
        <f t="shared" si="2"/>
        <v>-414.86</v>
      </c>
      <c r="J15" s="42">
        <f t="shared" si="3"/>
        <v>17.028000000000002</v>
      </c>
      <c r="K15" s="43">
        <f>F15-(-1019.98)</f>
        <v>1105.1200000000001</v>
      </c>
      <c r="L15" s="43">
        <f>F15/(-1019.98)*100</f>
        <v>-8.347222494558716</v>
      </c>
      <c r="M15" s="32">
        <f>E15-лютий!E15</f>
        <v>110</v>
      </c>
      <c r="N15" s="178">
        <f>F15-лютий!F15</f>
        <v>0.0049999999999954525</v>
      </c>
      <c r="O15" s="40">
        <f t="shared" si="4"/>
        <v>-109.995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11740.15</v>
      </c>
      <c r="G19" s="36">
        <f t="shared" si="0"/>
        <v>-8320.250000000002</v>
      </c>
      <c r="H19" s="32">
        <f t="shared" si="1"/>
        <v>58.52400749735798</v>
      </c>
      <c r="I19" s="42">
        <f t="shared" si="2"/>
        <v>-98159.85</v>
      </c>
      <c r="J19" s="42">
        <f t="shared" si="3"/>
        <v>10.682575068243857</v>
      </c>
      <c r="K19" s="185">
        <f>F19-10070.48</f>
        <v>1669.67</v>
      </c>
      <c r="L19" s="185">
        <f>F19/10070.48*100</f>
        <v>116.57984525067326</v>
      </c>
      <c r="M19" s="32">
        <f>E19-лютий!E19</f>
        <v>8000.000000000002</v>
      </c>
      <c r="N19" s="178">
        <f>F19-лютий!F19</f>
        <v>879.1499999999996</v>
      </c>
      <c r="O19" s="40">
        <f t="shared" si="4"/>
        <v>-7120.850000000002</v>
      </c>
      <c r="P19" s="42">
        <f t="shared" si="5"/>
        <v>10.989374999999994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61130.01</v>
      </c>
      <c r="G20" s="36">
        <f t="shared" si="0"/>
        <v>-4520.500000000007</v>
      </c>
      <c r="H20" s="32">
        <f t="shared" si="1"/>
        <v>93.11429568483169</v>
      </c>
      <c r="I20" s="42">
        <f t="shared" si="2"/>
        <v>-209809.99</v>
      </c>
      <c r="J20" s="42">
        <f t="shared" si="3"/>
        <v>22.562194581826237</v>
      </c>
      <c r="K20" s="132">
        <f>F20-49978.98</f>
        <v>11151.029999999999</v>
      </c>
      <c r="L20" s="110">
        <f>F20/49978.98*100</f>
        <v>122.31143972926218</v>
      </c>
      <c r="M20" s="32">
        <f>M21+M25+M26+M27</f>
        <v>15598.405</v>
      </c>
      <c r="N20" s="178">
        <f>F20-лютий!F20</f>
        <v>2083.5699999999997</v>
      </c>
      <c r="O20" s="40">
        <f t="shared" si="4"/>
        <v>-13514.835000000001</v>
      </c>
      <c r="P20" s="42">
        <f t="shared" si="5"/>
        <v>13.357583676023282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26565.829999999998</v>
      </c>
      <c r="G21" s="36">
        <f t="shared" si="0"/>
        <v>-8775.430000000004</v>
      </c>
      <c r="H21" s="32">
        <f t="shared" si="1"/>
        <v>75.1694478351932</v>
      </c>
      <c r="I21" s="42">
        <f t="shared" si="2"/>
        <v>-134834.17</v>
      </c>
      <c r="J21" s="42">
        <f t="shared" si="3"/>
        <v>16.459622057001237</v>
      </c>
      <c r="K21" s="132">
        <f>F21-24610.26</f>
        <v>1955.5699999999997</v>
      </c>
      <c r="L21" s="110">
        <f>F21/24610.26*100</f>
        <v>107.94615741564697</v>
      </c>
      <c r="M21" s="32">
        <f>M22+M23+M24</f>
        <v>11845</v>
      </c>
      <c r="N21" s="178">
        <f>F21-лютий!F21</f>
        <v>1081.7799999999988</v>
      </c>
      <c r="O21" s="40">
        <f t="shared" si="4"/>
        <v>-10763.220000000001</v>
      </c>
      <c r="P21" s="42">
        <f t="shared" si="5"/>
        <v>9.13279864921907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3613</v>
      </c>
      <c r="G22" s="109">
        <f>F22-E22</f>
        <v>81.40000000000009</v>
      </c>
      <c r="H22" s="111">
        <f t="shared" si="1"/>
        <v>102.30490429267188</v>
      </c>
      <c r="I22" s="110">
        <f t="shared" si="2"/>
        <v>-14887</v>
      </c>
      <c r="J22" s="110">
        <f t="shared" si="3"/>
        <v>19.52972972972973</v>
      </c>
      <c r="K22" s="174">
        <f>F22-526.28</f>
        <v>3086.7200000000003</v>
      </c>
      <c r="L22" s="174">
        <f>F22/526.28*100</f>
        <v>686.5166831344533</v>
      </c>
      <c r="M22" s="111">
        <f>E22-лютий!E22</f>
        <v>240</v>
      </c>
      <c r="N22" s="179">
        <f>F22-лютий!F22</f>
        <v>60.23000000000002</v>
      </c>
      <c r="O22" s="112">
        <f t="shared" si="4"/>
        <v>-179.76999999999998</v>
      </c>
      <c r="P22" s="110">
        <f t="shared" si="5"/>
        <v>25.09583333333334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174.23</v>
      </c>
      <c r="G23" s="109">
        <f>F23-E23</f>
        <v>-27.610000000000014</v>
      </c>
      <c r="H23" s="111">
        <f t="shared" si="1"/>
        <v>86.32084819659134</v>
      </c>
      <c r="I23" s="110">
        <f t="shared" si="2"/>
        <v>-2625.77</v>
      </c>
      <c r="J23" s="110">
        <f t="shared" si="3"/>
        <v>6.222499999999999</v>
      </c>
      <c r="K23" s="110">
        <f>F23-37.7</f>
        <v>136.52999999999997</v>
      </c>
      <c r="L23" s="110">
        <f>F23/37.7*100</f>
        <v>462.1485411140583</v>
      </c>
      <c r="M23" s="111">
        <f>E23-лютий!E23</f>
        <v>0</v>
      </c>
      <c r="N23" s="179">
        <f>F23-лютий!F23</f>
        <v>0.01999999999998181</v>
      </c>
      <c r="O23" s="112">
        <f t="shared" si="4"/>
        <v>0.01999999999998181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22778.6</v>
      </c>
      <c r="G24" s="109">
        <f>F24-E24</f>
        <v>-8829.220000000001</v>
      </c>
      <c r="H24" s="111">
        <f t="shared" si="1"/>
        <v>72.06634307585908</v>
      </c>
      <c r="I24" s="110">
        <f t="shared" si="2"/>
        <v>-117321.4</v>
      </c>
      <c r="J24" s="110">
        <f t="shared" si="3"/>
        <v>16.258815132048536</v>
      </c>
      <c r="K24" s="174">
        <f>F24-24046.28</f>
        <v>-1267.6800000000003</v>
      </c>
      <c r="L24" s="174">
        <f>F24/24046.28*100</f>
        <v>94.72816585351248</v>
      </c>
      <c r="M24" s="111">
        <f>E24-лютий!E24</f>
        <v>11605</v>
      </c>
      <c r="N24" s="179">
        <f>F24-лютий!F24</f>
        <v>1021.5299999999988</v>
      </c>
      <c r="O24" s="112">
        <f t="shared" si="4"/>
        <v>-10583.470000000001</v>
      </c>
      <c r="P24" s="110">
        <f t="shared" si="5"/>
        <v>8.80249892287806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6" ref="G26:G32">F26-E26</f>
        <v>-52.93</v>
      </c>
      <c r="H26" s="32"/>
      <c r="I26" s="42">
        <f t="shared" si="2"/>
        <v>-52.93</v>
      </c>
      <c r="J26" s="42"/>
      <c r="K26" s="132">
        <f>F26-12.89</f>
        <v>-65.82</v>
      </c>
      <c r="L26" s="132">
        <f>F26/12.89*100</f>
        <v>-410.62839410395657</v>
      </c>
      <c r="M26" s="32">
        <f>E26-лютий!E26</f>
        <v>0</v>
      </c>
      <c r="N26" s="178">
        <f>F26-лютий!F26</f>
        <v>0</v>
      </c>
      <c r="O26" s="40">
        <f t="shared" si="4"/>
        <v>0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34596.3</v>
      </c>
      <c r="G27" s="36">
        <f t="shared" si="6"/>
        <v>4301.060000000001</v>
      </c>
      <c r="H27" s="32">
        <f t="shared" si="1"/>
        <v>114.19714780275714</v>
      </c>
      <c r="I27" s="42">
        <f t="shared" si="2"/>
        <v>-74866.7</v>
      </c>
      <c r="J27" s="42">
        <f t="shared" si="3"/>
        <v>31.6054739957794</v>
      </c>
      <c r="K27" s="106">
        <f>F27-25338.21</f>
        <v>9258.090000000004</v>
      </c>
      <c r="L27" s="106">
        <f>F27/25338.21*100</f>
        <v>136.53805852899634</v>
      </c>
      <c r="M27" s="32">
        <f>E27-лютий!E27</f>
        <v>3750</v>
      </c>
      <c r="N27" s="178">
        <f>F27-лютий!F27</f>
        <v>1001.7900000000009</v>
      </c>
      <c r="O27" s="40">
        <f t="shared" si="4"/>
        <v>-2748.209999999999</v>
      </c>
      <c r="P27" s="42">
        <f>N27/M27*100</f>
        <v>26.714400000000023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8386.499999999998</v>
      </c>
      <c r="G33" s="15">
        <f>G34+G35+G36+G37+G38+G39+G41+G42+G43+G44+G45+G50+G51+G55</f>
        <v>-18.511000000000024</v>
      </c>
      <c r="H33" s="38">
        <f>F33/E33*100</f>
        <v>99.77952490597592</v>
      </c>
      <c r="I33" s="28">
        <f>F33-D33</f>
        <v>-34433.5</v>
      </c>
      <c r="J33" s="28">
        <f>F33/D33*100</f>
        <v>19.585474077533856</v>
      </c>
      <c r="K33" s="15">
        <f>F33-7649.28</f>
        <v>737.2199999999984</v>
      </c>
      <c r="L33" s="15">
        <f>F33/7649.28*100</f>
        <v>109.63776982931725</v>
      </c>
      <c r="M33" s="15">
        <f>M34+M35+M36+M37+M38+M39+M41+M42+M43+M44+M45+M50+M51+M55</f>
        <v>3470.005</v>
      </c>
      <c r="N33" s="15">
        <f>N34+N35+N36+N37+N38+N39+N41+N42+N43+N44+N45+N50+N51+N55</f>
        <v>3470.060000000001</v>
      </c>
      <c r="O33" s="15">
        <f>O34+O35+O36+O37+O38+O39+O41+O42+O43+O44+O45+O50+O51+O55</f>
        <v>0.05500000000051841</v>
      </c>
      <c r="P33" s="15">
        <f>N33/M33*100</f>
        <v>100.00158501212537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25.2</v>
      </c>
      <c r="G36" s="36">
        <f t="shared" si="9"/>
        <v>-26.24</v>
      </c>
      <c r="H36" s="32">
        <f t="shared" si="7"/>
        <v>48.98911353032659</v>
      </c>
      <c r="I36" s="42">
        <f t="shared" si="10"/>
        <v>-374.8</v>
      </c>
      <c r="J36" s="42">
        <f aca="true" t="shared" si="12" ref="J36:J56">F36/D36*100</f>
        <v>6.3</v>
      </c>
      <c r="K36" s="42">
        <f>F36-4.04</f>
        <v>21.16</v>
      </c>
      <c r="L36" s="42">
        <f>F36/4.04*100</f>
        <v>623.7623762376238</v>
      </c>
      <c r="M36" s="32">
        <f>E36-лютий!E36</f>
        <v>19.999999999999996</v>
      </c>
      <c r="N36" s="178">
        <f>F36-лютий!F36</f>
        <v>0.8200000000000003</v>
      </c>
      <c r="O36" s="40">
        <f t="shared" si="11"/>
        <v>-19.179999999999996</v>
      </c>
      <c r="P36" s="42">
        <f t="shared" si="8"/>
        <v>4.100000000000002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6.2</v>
      </c>
      <c r="G38" s="36">
        <f t="shared" si="9"/>
        <v>-23.8</v>
      </c>
      <c r="H38" s="32">
        <f t="shared" si="7"/>
        <v>20.666666666666668</v>
      </c>
      <c r="I38" s="42">
        <f t="shared" si="10"/>
        <v>-143.8</v>
      </c>
      <c r="J38" s="42">
        <f t="shared" si="12"/>
        <v>4.133333333333333</v>
      </c>
      <c r="K38" s="42">
        <f>F38-30.76</f>
        <v>-24.560000000000002</v>
      </c>
      <c r="L38" s="42">
        <f>F38/30.76*100</f>
        <v>20.156046814044213</v>
      </c>
      <c r="M38" s="32">
        <f>E38-лютий!E38</f>
        <v>10</v>
      </c>
      <c r="N38" s="178">
        <f>F38-лютий!F38</f>
        <v>2.5500000000000003</v>
      </c>
      <c r="O38" s="40">
        <f t="shared" si="11"/>
        <v>-7.449999999999999</v>
      </c>
      <c r="P38" s="42">
        <f t="shared" si="8"/>
        <v>25.5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1551.2</v>
      </c>
      <c r="G41" s="36">
        <f t="shared" si="9"/>
        <v>-587.8199999999999</v>
      </c>
      <c r="H41" s="32">
        <f t="shared" si="7"/>
        <v>72.5191910314069</v>
      </c>
      <c r="I41" s="42">
        <f t="shared" si="10"/>
        <v>-8348.8</v>
      </c>
      <c r="J41" s="42">
        <f t="shared" si="12"/>
        <v>15.668686868686867</v>
      </c>
      <c r="K41" s="42">
        <f>F41-2528.58</f>
        <v>-977.3799999999999</v>
      </c>
      <c r="L41" s="42">
        <f>F41/2528.58*100</f>
        <v>61.34668470050384</v>
      </c>
      <c r="M41" s="32">
        <f>E41-лютий!E41</f>
        <v>800.0049999999999</v>
      </c>
      <c r="N41" s="178">
        <f>F41-лютий!F41</f>
        <v>200.02999999999997</v>
      </c>
      <c r="O41" s="40">
        <f t="shared" si="11"/>
        <v>-599.9749999999999</v>
      </c>
      <c r="P41" s="42">
        <f t="shared" si="8"/>
        <v>25.003593727539204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1303.34</v>
      </c>
      <c r="G44" s="36">
        <f t="shared" si="9"/>
        <v>-712.8900000000001</v>
      </c>
      <c r="H44" s="32">
        <f t="shared" si="7"/>
        <v>64.64242670727049</v>
      </c>
      <c r="I44" s="42">
        <f t="shared" si="10"/>
        <v>-7196.66</v>
      </c>
      <c r="J44" s="42">
        <f t="shared" si="12"/>
        <v>15.33341176470588</v>
      </c>
      <c r="K44" s="42">
        <f>F44-1946.14</f>
        <v>-642.8000000000002</v>
      </c>
      <c r="L44" s="42">
        <f>F44/1946.14*100</f>
        <v>66.97051599576596</v>
      </c>
      <c r="M44" s="32">
        <f>E44-лютий!E44</f>
        <v>650</v>
      </c>
      <c r="N44" s="178">
        <f>F44-лютий!F44</f>
        <v>0</v>
      </c>
      <c r="O44" s="40">
        <f t="shared" si="11"/>
        <v>-650</v>
      </c>
      <c r="P44" s="42">
        <f t="shared" si="8"/>
        <v>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1050.1</v>
      </c>
      <c r="G45" s="36">
        <f t="shared" si="9"/>
        <v>-323.09000000000015</v>
      </c>
      <c r="H45" s="32">
        <f t="shared" si="7"/>
        <v>76.47157348946612</v>
      </c>
      <c r="I45" s="42">
        <f t="shared" si="10"/>
        <v>-6249.9</v>
      </c>
      <c r="J45" s="42">
        <f t="shared" si="12"/>
        <v>14.384931506849313</v>
      </c>
      <c r="K45" s="132">
        <f>F45-2181.98</f>
        <v>-1131.88</v>
      </c>
      <c r="L45" s="132">
        <f>F45/2181.98*100</f>
        <v>48.12601398729594</v>
      </c>
      <c r="M45" s="32">
        <f>E45-лютий!E45</f>
        <v>477</v>
      </c>
      <c r="N45" s="178">
        <f>F45-лютий!F45</f>
        <v>84.93999999999994</v>
      </c>
      <c r="O45" s="40">
        <f t="shared" si="11"/>
        <v>-392.06000000000006</v>
      </c>
      <c r="P45" s="132">
        <f t="shared" si="8"/>
        <v>17.80712788259957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782.5</v>
      </c>
      <c r="G51" s="36">
        <f t="shared" si="9"/>
        <v>-225.48000000000002</v>
      </c>
      <c r="H51" s="32">
        <f t="shared" si="7"/>
        <v>77.63050854183614</v>
      </c>
      <c r="I51" s="42">
        <f t="shared" si="10"/>
        <v>-4017.5</v>
      </c>
      <c r="J51" s="42">
        <f t="shared" si="12"/>
        <v>16.302083333333332</v>
      </c>
      <c r="K51" s="42">
        <f>F51-960.47</f>
        <v>-177.97000000000003</v>
      </c>
      <c r="L51" s="42">
        <f>F51/960.47*100</f>
        <v>81.47053005299489</v>
      </c>
      <c r="M51" s="32">
        <f>E51-лютий!E51</f>
        <v>370</v>
      </c>
      <c r="N51" s="178">
        <f>F51-лютий!F51</f>
        <v>59.84000000000003</v>
      </c>
      <c r="O51" s="40">
        <f t="shared" si="11"/>
        <v>-310.15999999999997</v>
      </c>
      <c r="P51" s="42">
        <f t="shared" si="8"/>
        <v>16.172972972972982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155</v>
      </c>
      <c r="G53" s="36"/>
      <c r="H53" s="32"/>
      <c r="I53" s="42"/>
      <c r="J53" s="42"/>
      <c r="K53" s="112">
        <f>F53-239.6</f>
        <v>-84.6</v>
      </c>
      <c r="L53" s="112">
        <f>F53/239.6*100</f>
        <v>64.69115191986644</v>
      </c>
      <c r="M53" s="111"/>
      <c r="N53" s="179">
        <f>F53-лютий!F53</f>
        <v>7.699999999999989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9"/>
        <v>12.189999999999998</v>
      </c>
      <c r="H55" s="32">
        <f t="shared" si="7"/>
        <v>160.95</v>
      </c>
      <c r="I55" s="42">
        <f t="shared" si="10"/>
        <v>12.189999999999998</v>
      </c>
      <c r="J55" s="42">
        <f t="shared" si="12"/>
        <v>160.95</v>
      </c>
      <c r="K55" s="42">
        <f>F55-0</f>
        <v>32.19</v>
      </c>
      <c r="L55" s="42"/>
      <c r="M55" s="32">
        <f>E55-лютий!E55</f>
        <v>0</v>
      </c>
      <c r="N55" s="178">
        <f>F55-лютий!F55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163578.23999999996</v>
      </c>
      <c r="G58" s="37">
        <f>F58-E58</f>
        <v>-26646.271000000037</v>
      </c>
      <c r="H58" s="38">
        <f>F58/E58*100</f>
        <v>85.99219897587224</v>
      </c>
      <c r="I58" s="28">
        <f>F58-D58</f>
        <v>-720322.36</v>
      </c>
      <c r="J58" s="28">
        <f>F58/D58*100</f>
        <v>18.506406715868273</v>
      </c>
      <c r="K58" s="28">
        <f>F58-147138.18</f>
        <v>16440.05999999997</v>
      </c>
      <c r="L58" s="28">
        <f>F58/147138.18*100</f>
        <v>111.17321146693536</v>
      </c>
      <c r="M58" s="15">
        <f>M8+M33+M56+M57</f>
        <v>62573.715000000004</v>
      </c>
      <c r="N58" s="15">
        <f>N8+N33+N56+N57</f>
        <v>18234.984999999997</v>
      </c>
      <c r="O58" s="41">
        <f>N58-M58</f>
        <v>-44338.73000000001</v>
      </c>
      <c r="P58" s="28">
        <f>N58/M58*100</f>
        <v>29.14160522513326</v>
      </c>
      <c r="Q58" s="28">
        <f>N58-34768</f>
        <v>-16533.015000000003</v>
      </c>
      <c r="R58" s="128">
        <f>N58/34768</f>
        <v>0.5244760987114587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7668.6</v>
      </c>
      <c r="G69" s="36">
        <f t="shared" si="13"/>
        <v>6781.75</v>
      </c>
      <c r="H69" s="32">
        <f>F69/E69*100</f>
        <v>864.700907707053</v>
      </c>
      <c r="I69" s="43">
        <f t="shared" si="14"/>
        <v>1668.6000000000004</v>
      </c>
      <c r="J69" s="43">
        <f>F69/D69*100</f>
        <v>127.81</v>
      </c>
      <c r="K69" s="43">
        <f>F69-11.06</f>
        <v>7657.54</v>
      </c>
      <c r="L69" s="43">
        <f>F69/11.06*100</f>
        <v>69336.34719710669</v>
      </c>
      <c r="M69" s="32">
        <f>E69-лютий!E69</f>
        <v>302</v>
      </c>
      <c r="N69" s="178">
        <f>F69-лютий!F69</f>
        <v>7021.76</v>
      </c>
      <c r="O69" s="40">
        <f t="shared" si="15"/>
        <v>6719.76</v>
      </c>
      <c r="P69" s="43">
        <f>N69/M69*100</f>
        <v>2325.0860927152316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2</v>
      </c>
      <c r="G70" s="36">
        <f t="shared" si="13"/>
        <v>-1</v>
      </c>
      <c r="H70" s="32">
        <f>F70/E70*100</f>
        <v>66.66666666666666</v>
      </c>
      <c r="I70" s="43">
        <f t="shared" si="14"/>
        <v>-10</v>
      </c>
      <c r="J70" s="43">
        <f>F70/D70*100</f>
        <v>16.666666666666664</v>
      </c>
      <c r="K70" s="43">
        <f>F70-0</f>
        <v>2</v>
      </c>
      <c r="L70" s="43"/>
      <c r="M70" s="32">
        <f>E70-лютий!E70</f>
        <v>1</v>
      </c>
      <c r="N70" s="178">
        <f>F70-лютий!F70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8047.38</v>
      </c>
      <c r="G71" s="45">
        <f t="shared" si="13"/>
        <v>5694.12</v>
      </c>
      <c r="H71" s="52">
        <f>F71/E71*100</f>
        <v>341.96731342903036</v>
      </c>
      <c r="I71" s="44">
        <f t="shared" si="14"/>
        <v>-9623.619999999999</v>
      </c>
      <c r="J71" s="44">
        <f>F71/D71*100</f>
        <v>45.54003734932941</v>
      </c>
      <c r="K71" s="44">
        <f>F71-1454.31</f>
        <v>6593.07</v>
      </c>
      <c r="L71" s="44">
        <f>F71/1454.31*100</f>
        <v>553.3469480372136</v>
      </c>
      <c r="M71" s="45">
        <f>M67+M68+M69+M70</f>
        <v>634.01</v>
      </c>
      <c r="N71" s="183">
        <f>N67+N68+N69+N70</f>
        <v>7021.77</v>
      </c>
      <c r="O71" s="44">
        <f t="shared" si="15"/>
        <v>6387.76</v>
      </c>
      <c r="P71" s="44">
        <f>N71/M71*100</f>
        <v>1107.5172315894072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0.01</v>
      </c>
      <c r="G72" s="36">
        <f t="shared" si="13"/>
        <v>0.01</v>
      </c>
      <c r="H72" s="32"/>
      <c r="I72" s="43">
        <f t="shared" si="14"/>
        <v>-0.99</v>
      </c>
      <c r="J72" s="43"/>
      <c r="K72" s="43">
        <f>F72-0</f>
        <v>0.01</v>
      </c>
      <c r="L72" s="43"/>
      <c r="M72" s="32">
        <f>E72-лютий!E72</f>
        <v>0</v>
      </c>
      <c r="N72" s="178">
        <f>F72-лютий!F72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2013.68</v>
      </c>
      <c r="G74" s="36">
        <f t="shared" si="13"/>
        <v>7.980000000000018</v>
      </c>
      <c r="H74" s="32">
        <f>F74/E74*100</f>
        <v>100.39786608166725</v>
      </c>
      <c r="I74" s="43">
        <f t="shared" si="14"/>
        <v>-7486.32</v>
      </c>
      <c r="J74" s="40">
        <f>F74/D74*100</f>
        <v>21.19663157894737</v>
      </c>
      <c r="K74" s="40">
        <f>F74-0</f>
        <v>2013.68</v>
      </c>
      <c r="L74" s="43"/>
      <c r="M74" s="32">
        <f>E74-лютий!E74</f>
        <v>0.7999999999999545</v>
      </c>
      <c r="N74" s="178">
        <f>F74-лютий!F74</f>
        <v>0.01999999999998181</v>
      </c>
      <c r="O74" s="40">
        <f>N74-M74</f>
        <v>-0.7799999999999727</v>
      </c>
      <c r="P74" s="46">
        <f>N74/M74*100</f>
        <v>2.4999999999978684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2013.97</v>
      </c>
      <c r="G76" s="30">
        <f>G72+G75+G73+G74</f>
        <v>8.270000000000017</v>
      </c>
      <c r="H76" s="52">
        <f>F76/E76*100</f>
        <v>100.41232487410878</v>
      </c>
      <c r="I76" s="44">
        <f t="shared" si="14"/>
        <v>-7487.03</v>
      </c>
      <c r="J76" s="44">
        <f>F76/D76*100</f>
        <v>21.197452899694767</v>
      </c>
      <c r="K76" s="44">
        <f>F76-0.58</f>
        <v>2013.39</v>
      </c>
      <c r="L76" s="44">
        <f>F76/0.58*100</f>
        <v>347236.20689655177</v>
      </c>
      <c r="M76" s="45">
        <f>M72+M75+M73+M74</f>
        <v>0.7999999999999545</v>
      </c>
      <c r="N76" s="183">
        <f>N72+N75+N73+N74</f>
        <v>0.13999999999998183</v>
      </c>
      <c r="O76" s="45">
        <f>O72+O75+O73+O74</f>
        <v>-0.6599999999999727</v>
      </c>
      <c r="P76" s="44">
        <f>N76/M76*100</f>
        <v>17.499999999998725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10061.77</v>
      </c>
      <c r="G79" s="37">
        <f>F79-E79</f>
        <v>5690.1</v>
      </c>
      <c r="H79" s="38">
        <f>F79/E79*100</f>
        <v>230.15849778231203</v>
      </c>
      <c r="I79" s="28">
        <f>F79-D79</f>
        <v>-17153.23</v>
      </c>
      <c r="J79" s="28">
        <f>F79/D79*100</f>
        <v>36.971412823810404</v>
      </c>
      <c r="K79" s="28">
        <f>F79-1453.19</f>
        <v>8608.58</v>
      </c>
      <c r="L79" s="28">
        <f>F79/1453.19*100</f>
        <v>692.3919102113282</v>
      </c>
      <c r="M79" s="24">
        <f>M65+M77+M71+M76</f>
        <v>646.8</v>
      </c>
      <c r="N79" s="165">
        <f>N65+N77+N71+N76+N78</f>
        <v>7021.910000000001</v>
      </c>
      <c r="O79" s="28">
        <f t="shared" si="15"/>
        <v>6375.110000000001</v>
      </c>
      <c r="P79" s="28">
        <f>N79/M79*100</f>
        <v>1085.6385281385283</v>
      </c>
      <c r="Q79" s="28">
        <f>N79-8104.96</f>
        <v>-1083.0499999999993</v>
      </c>
      <c r="R79" s="101">
        <f>N79/8104.96</f>
        <v>0.8663719500157929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173640.00999999995</v>
      </c>
      <c r="G80" s="37">
        <f>F80-E80</f>
        <v>-20956.17100000006</v>
      </c>
      <c r="H80" s="38">
        <f>F80/E80*100</f>
        <v>89.23094436267479</v>
      </c>
      <c r="I80" s="28">
        <f>F80-D80</f>
        <v>-737475.5900000001</v>
      </c>
      <c r="J80" s="28">
        <f>F80/D80*100</f>
        <v>19.057955982753448</v>
      </c>
      <c r="K80" s="28">
        <f>K58+K79</f>
        <v>25048.63999999997</v>
      </c>
      <c r="L80" s="28">
        <f>F80/139550.7*100</f>
        <v>124.42790326383167</v>
      </c>
      <c r="M80" s="15">
        <f>M58+M79</f>
        <v>63220.51500000001</v>
      </c>
      <c r="N80" s="15">
        <f>N58+N79</f>
        <v>25256.894999999997</v>
      </c>
      <c r="O80" s="28">
        <f t="shared" si="15"/>
        <v>-37963.62000000001</v>
      </c>
      <c r="P80" s="28">
        <f>N80/M80*100</f>
        <v>39.950473355049375</v>
      </c>
      <c r="Q80" s="28">
        <f>N80-42872.96</f>
        <v>-17616.065000000002</v>
      </c>
      <c r="R80" s="101">
        <f>N80/42872.96</f>
        <v>0.5891101290883577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18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2463.2627777777784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42433</v>
      </c>
      <c r="D84" s="31">
        <v>9190.3</v>
      </c>
      <c r="G84" s="4" t="s">
        <v>59</v>
      </c>
      <c r="N84" s="195"/>
      <c r="O84" s="195"/>
    </row>
    <row r="85" spans="3:15" ht="15">
      <c r="C85" s="87">
        <v>42432</v>
      </c>
      <c r="D85" s="31">
        <v>1809.9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42431</v>
      </c>
      <c r="D86" s="31">
        <v>1553.13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'[1]залишки  (2)'!$G$6/1000</f>
        <v>7527.10168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2016-03-09T08:51:07Z</cp:lastPrinted>
  <dcterms:created xsi:type="dcterms:W3CDTF">2003-07-28T11:27:56Z</dcterms:created>
  <dcterms:modified xsi:type="dcterms:W3CDTF">2016-03-09T09:52:14Z</dcterms:modified>
  <cp:category/>
  <cp:version/>
  <cp:contentType/>
  <cp:contentStatus/>
</cp:coreProperties>
</file>